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11"/>
  <fileSharing readOnlyRecommended="1"/>
  <workbookPr/>
  <mc:AlternateContent xmlns:mc="http://schemas.openxmlformats.org/markup-compatibility/2006">
    <mc:Choice Requires="x15">
      <x15ac:absPath xmlns:x15ac="http://schemas.microsoft.com/office/spreadsheetml/2010/11/ac" url="C:\Users\julianne.mozzer\Documents\My VPs\AAV Calc VP\AAV COMPLETE TAKE 4 OH MY GOD\"/>
    </mc:Choice>
  </mc:AlternateContent>
  <xr:revisionPtr revIDLastSave="0" documentId="8_{16B1D4D5-0D60-4CEF-B732-00E9F814ADBC}" xr6:coauthVersionLast="47" xr6:coauthVersionMax="47" xr10:uidLastSave="{00000000-0000-0000-0000-000000000000}"/>
  <bookViews>
    <workbookView xWindow="-28920" yWindow="-4710" windowWidth="29040" windowHeight="15840" firstSheet="1" activeTab="1" xr2:uid="{72C87E8D-0176-784D-8C2F-3C199F0B94F5}"/>
  </bookViews>
  <sheets>
    <sheet name="Final Calculations" sheetId="3" state="hidden" r:id="rId1"/>
    <sheet name="Overview" sheetId="9" r:id="rId2"/>
    <sheet name="AAV Dosing Math"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7" l="1"/>
  <c r="O13" i="7" l="1"/>
  <c r="P13" i="7" s="1"/>
  <c r="L13" i="7" s="1"/>
  <c r="O10" i="7"/>
  <c r="P10" i="7" s="1"/>
  <c r="Q10" i="7" s="1"/>
  <c r="O11" i="7"/>
  <c r="P11" i="7" s="1"/>
  <c r="O12" i="7"/>
  <c r="P12" i="7" s="1"/>
  <c r="L12" i="7" s="1"/>
  <c r="K11" i="7"/>
  <c r="K12" i="7"/>
  <c r="K13" i="7"/>
  <c r="K10" i="7"/>
  <c r="J11" i="7"/>
  <c r="J12" i="7"/>
  <c r="J13" i="7"/>
  <c r="J10" i="7"/>
  <c r="L11" i="7" l="1"/>
  <c r="Q11" i="7"/>
  <c r="L10" i="7"/>
  <c r="Q12" i="7"/>
  <c r="Q13" i="7"/>
  <c r="B13" i="3"/>
  <c r="P10" i="3"/>
  <c r="O10" i="3"/>
  <c r="M12" i="3"/>
  <c r="M10" i="3"/>
  <c r="D9" i="3"/>
  <c r="B7" i="3"/>
  <c r="O12" i="3"/>
  <c r="I11" i="3"/>
  <c r="I10" i="3"/>
  <c r="J12" i="3"/>
  <c r="C10" i="3"/>
  <c r="J10" i="3"/>
  <c r="I12" i="3"/>
  <c r="M11" i="7" l="1"/>
  <c r="M13" i="7"/>
  <c r="N13" i="7" s="1"/>
  <c r="M12" i="7"/>
  <c r="N12" i="7" s="1"/>
  <c r="M10" i="7"/>
  <c r="N10" i="7" s="1"/>
  <c r="P12" i="3"/>
  <c r="Q12" i="3" s="1"/>
  <c r="Q10" i="3"/>
  <c r="B6" i="3"/>
  <c r="C11" i="3" l="1"/>
</calcChain>
</file>

<file path=xl/sharedStrings.xml><?xml version="1.0" encoding="utf-8"?>
<sst xmlns="http://schemas.openxmlformats.org/spreadsheetml/2006/main" count="100" uniqueCount="97">
  <si>
    <t xml:space="preserve">To dose at 100,000 MOI </t>
  </si>
  <si>
    <t>S3:</t>
  </si>
  <si>
    <t xml:space="preserve">Total perfused volume during 24hr of flow at 30uL/hr * 24 hrs = 720uL per Chip </t>
  </si>
  <si>
    <t xml:space="preserve">Total MOI </t>
  </si>
  <si>
    <t>Continuous Flow</t>
  </si>
  <si>
    <t xml:space="preserve">Flow for 24hrs at 30ul/hr </t>
  </si>
  <si>
    <t xml:space="preserve">in PFU </t>
  </si>
  <si>
    <t xml:space="preserve">With flow at 30ul/hr, the maximum volume cells see is 720ul, so I need 4e9 PFU in 720uL </t>
  </si>
  <si>
    <t xml:space="preserve">To add 1mL media in each pod, I need </t>
  </si>
  <si>
    <t>Vector</t>
  </si>
  <si>
    <t xml:space="preserve">MOI </t>
  </si>
  <si>
    <t xml:space="preserve">GC </t>
  </si>
  <si>
    <t xml:space="preserve">Stock Concentration (GC/mL) </t>
  </si>
  <si>
    <t xml:space="preserve">Volume exposed to Cells (mL) </t>
  </si>
  <si>
    <t xml:space="preserve">Number of Chip </t>
  </si>
  <si>
    <t xml:space="preserve">GC needed in 1mL media per Chip </t>
  </si>
  <si>
    <t>Total Volume Media (mL)</t>
  </si>
  <si>
    <t>Volume of Vector to take per mL</t>
  </si>
  <si>
    <t>Total Vector Volume needed (mL)</t>
  </si>
  <si>
    <t>in uL</t>
  </si>
  <si>
    <t xml:space="preserve">Stock concentration </t>
  </si>
  <si>
    <t xml:space="preserve">GC/mL </t>
  </si>
  <si>
    <t>AAV6 (top)</t>
  </si>
  <si>
    <t xml:space="preserve">So Take </t>
  </si>
  <si>
    <t xml:space="preserve">mL </t>
  </si>
  <si>
    <t>AAV6 (bottom)</t>
  </si>
  <si>
    <t>AAV 6 (null) TOP</t>
  </si>
  <si>
    <t xml:space="preserve">For 5 Chips </t>
  </si>
  <si>
    <t xml:space="preserve">uL </t>
  </si>
  <si>
    <t xml:space="preserve">in 5 mL media </t>
  </si>
  <si>
    <t>AAV 6 (null) Bottom</t>
  </si>
  <si>
    <t>Note: AAV stock concentrations vary each time a new batch is ordered</t>
  </si>
  <si>
    <t>Document Name:</t>
  </si>
  <si>
    <t>Liver AAV Sample Dosing Calculator v1.0.1</t>
  </si>
  <si>
    <t>Supported Model:</t>
  </si>
  <si>
    <t>Emulate Liver-Chip</t>
  </si>
  <si>
    <t>Supported Application:</t>
  </si>
  <si>
    <t>Liver AAV Transduction</t>
  </si>
  <si>
    <t>Supporting Protocol:</t>
  </si>
  <si>
    <t>AAV Dosing and Solution Treatment Protocol</t>
  </si>
  <si>
    <t>Description:</t>
  </si>
  <si>
    <t xml:space="preserve">This calculator computes adeno-associated viruses (AAVs) dilution in media, given the desired MOI, vector titer and the number of chips </t>
  </si>
  <si>
    <t>Inputs:</t>
  </si>
  <si>
    <t>Vector name, stock concentration (from manufacturer), desired MOI, dosing channel, number of hepatocytes per chip and number of chips being dosed</t>
  </si>
  <si>
    <t>Outputs:</t>
  </si>
  <si>
    <t>Total volume of media and vector stock solution needed for dosing, total GC over exposure duration, particle concentration and the instantaneous MOI</t>
  </si>
  <si>
    <t>Key Term Glossary</t>
  </si>
  <si>
    <t>Term</t>
  </si>
  <si>
    <t xml:space="preserve">Definition </t>
  </si>
  <si>
    <t>AAV</t>
  </si>
  <si>
    <t xml:space="preserve">Adeno-Associated Virus (AAV) ~4.7 kb long </t>
  </si>
  <si>
    <t>Null</t>
  </si>
  <si>
    <t xml:space="preserve">Empty vector with no transgene that will be used as a control vector </t>
  </si>
  <si>
    <t>GFP</t>
  </si>
  <si>
    <t xml:space="preserve">Green Fluorescent Protein (GFP) that will be the transgene reporter </t>
  </si>
  <si>
    <t>MOI</t>
  </si>
  <si>
    <t>Multiplicity of Infection (MOI) is the total number of viral particles per cell over the duration of exposure</t>
  </si>
  <si>
    <t>Transduction</t>
  </si>
  <si>
    <t>Transfer of genetic material into host cell via viral vector to express a transgene (GFP)</t>
  </si>
  <si>
    <t>GC</t>
  </si>
  <si>
    <t>Genome copies (GC) or total number of virus particles</t>
  </si>
  <si>
    <t>© Emulate, Inc., 2022.  All rights reserved.</t>
  </si>
  <si>
    <t>For research use only. The technology disclosed in this document may be covered by one or more patents or patent applications owned by or licensed to Emulate, Inc. No license is granted herein. Further information is available by contacting Emulate.</t>
  </si>
  <si>
    <t xml:space="preserve">How to use: </t>
  </si>
  <si>
    <t>Fill highlighted cells with the appropriate inputs. Outputs will be autopopulated.</t>
  </si>
  <si>
    <r>
      <rPr>
        <b/>
        <sz val="12"/>
        <color theme="1"/>
        <rFont val="Arial"/>
        <family val="2"/>
        <scheme val="minor"/>
      </rPr>
      <t>Goal:</t>
    </r>
    <r>
      <rPr>
        <sz val="12"/>
        <color theme="1"/>
        <rFont val="Arial"/>
        <family val="2"/>
        <scheme val="minor"/>
      </rPr>
      <t xml:space="preserve"> </t>
    </r>
  </si>
  <si>
    <t>To convert the target Multiplicity of Infection (MOI) into genomic copies (GC) to dose chips with postive control AAV6</t>
  </si>
  <si>
    <t xml:space="preserve">Supporting protocol: </t>
  </si>
  <si>
    <t>Parameters:</t>
  </si>
  <si>
    <t>The following calculations assume a 30 µL / h flow rate (the supported Liver-Chip flow rate) for 24 h.</t>
  </si>
  <si>
    <t>Inputs</t>
  </si>
  <si>
    <t>Supporting Calculations</t>
  </si>
  <si>
    <t>Outputs</t>
  </si>
  <si>
    <t>Dosing Vector Name</t>
  </si>
  <si>
    <t>Dosing Channel</t>
  </si>
  <si>
    <t>Manufacturer Stock Concentration
(GC / mL)*</t>
  </si>
  <si>
    <t>Desired MOI 
over 24h</t>
  </si>
  <si>
    <t>Hepatocytes per Chip</t>
  </si>
  <si>
    <t xml:space="preserve">Number of Chips </t>
  </si>
  <si>
    <t>Flow rate (µL/h)</t>
  </si>
  <si>
    <t>Exposure Duration (h)</t>
  </si>
  <si>
    <t xml:space="preserve">Flow volume per channel per duration of flow
(mL) </t>
  </si>
  <si>
    <t>Total Volume Media per group
(mL)</t>
  </si>
  <si>
    <t>Volume of Vector to take per mL of media</t>
  </si>
  <si>
    <t>Total Vector Volume needed
(µL)</t>
  </si>
  <si>
    <t>Total media needed
(mL)</t>
  </si>
  <si>
    <t>Total GC**</t>
  </si>
  <si>
    <t>Particle Concentration (GC/mL)</t>
  </si>
  <si>
    <t>Instantaneous MOI</t>
  </si>
  <si>
    <t>AAV-W</t>
  </si>
  <si>
    <t>Epithelial</t>
  </si>
  <si>
    <t>AAV-X</t>
  </si>
  <si>
    <t>Endothelial</t>
  </si>
  <si>
    <t>AAV-Y</t>
  </si>
  <si>
    <t>AAV-Z</t>
  </si>
  <si>
    <t>*Input titer concentrations with each new batch purchase. AAV stock concentration will change per batch.</t>
  </si>
  <si>
    <t>**GC is calculated by multiplying MOI by the total number of hepatocytes on the chip (42,000 are expected).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</si>
</sst>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00"/>
    <numFmt numFmtId="165" formatCode="_(* #,##0_);_(* \(#,##0\);_(* &quot;-&quot;??_);_(@_)"/>
    <numFmt numFmtId="166" formatCode="0.000000"/>
    <numFmt numFmtId="167" formatCode="0.0000000"/>
    <numFmt numFmtId="168" formatCode="0.000000000"/>
    <numFmt numFmtId="169" formatCode="_(* #,##0.000_);_(* \(#,##0.000\);_(* &quot;-&quot;??_);_(@_)"/>
  </numFmts>
  <fonts count="17">
    <font>
      <sz val="12"/>
      <color theme="1"/>
      <name val="Arial"/>
      <family val="2"/>
      <scheme val="minor"/>
    </font>
    <font>
      <sz val="11"/>
      <color theme="1"/>
      <name val="Arial"/>
      <family val="2"/>
      <scheme val="minor"/>
    </font>
    <font>
      <sz val="12"/>
      <color theme="1"/>
      <name val="Arial"/>
      <family val="2"/>
      <scheme val="minor"/>
    </font>
    <font>
      <sz val="12"/>
      <color theme="1"/>
      <name val="Times New Roman"/>
      <family val="1"/>
    </font>
    <font>
      <sz val="12"/>
      <color rgb="FFFF0000"/>
      <name val="Times New Roman"/>
      <family val="1"/>
    </font>
    <font>
      <sz val="12"/>
      <color rgb="FFFF0000"/>
      <name val="Arial"/>
      <family val="2"/>
      <scheme val="minor"/>
    </font>
    <font>
      <b/>
      <sz val="12"/>
      <color theme="1"/>
      <name val="Arial"/>
      <family val="2"/>
    </font>
    <font>
      <sz val="12"/>
      <color theme="1"/>
      <name val="Arial"/>
      <family val="2"/>
    </font>
    <font>
      <b/>
      <sz val="12"/>
      <color theme="1"/>
      <name val="Arial"/>
      <family val="2"/>
      <scheme val="minor"/>
    </font>
    <font>
      <b/>
      <sz val="12"/>
      <color theme="0"/>
      <name val="Arial"/>
      <family val="2"/>
      <scheme val="minor"/>
    </font>
    <font>
      <b/>
      <sz val="12"/>
      <color theme="5"/>
      <name val="Arial"/>
      <family val="2"/>
      <scheme val="minor"/>
    </font>
    <font>
      <b/>
      <sz val="14"/>
      <color theme="0"/>
      <name val="Arial"/>
      <family val="2"/>
      <scheme val="minor"/>
    </font>
    <font>
      <b/>
      <strike/>
      <sz val="12"/>
      <color theme="0"/>
      <name val="Arial (Body)"/>
    </font>
    <font>
      <sz val="10"/>
      <color theme="1"/>
      <name val="Arial"/>
      <family val="2"/>
    </font>
    <font>
      <sz val="12"/>
      <color rgb="FF9B0005"/>
      <name val="Arial"/>
      <family val="2"/>
      <scheme val="minor"/>
    </font>
    <font>
      <sz val="12"/>
      <name val="Arial"/>
      <family val="2"/>
      <scheme val="minor"/>
    </font>
    <font>
      <u/>
      <sz val="12"/>
      <color theme="10"/>
      <name val="Arial"/>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E7E6E6"/>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3"/>
        <bgColor indexed="64"/>
      </patternFill>
    </fill>
    <fill>
      <patternFill patternType="solid">
        <fgColor theme="2" tint="0.79998168889431442"/>
        <bgColor indexed="64"/>
      </patternFill>
    </fill>
    <fill>
      <patternFill patternType="solid">
        <fgColor theme="1"/>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rgb="FF178DA2"/>
        <bgColor indexed="64"/>
      </patternFill>
    </fill>
    <fill>
      <patternFill patternType="solid">
        <fgColor rgb="FFD6E4B7"/>
        <bgColor indexed="64"/>
      </patternFill>
    </fill>
    <fill>
      <patternFill patternType="solid">
        <fgColor rgb="FF738D36"/>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theme="2"/>
      </right>
      <top style="thin">
        <color indexed="64"/>
      </top>
      <bottom style="thin">
        <color indexed="64"/>
      </bottom>
      <diagonal/>
    </border>
    <border>
      <left style="thin">
        <color indexed="64"/>
      </left>
      <right style="thin">
        <color theme="2"/>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9" fontId="1" fillId="0" borderId="0" applyFont="0" applyFill="0" applyBorder="0" applyAlignment="0" applyProtection="0"/>
    <xf numFmtId="0" fontId="16" fillId="0" borderId="0" applyNumberFormat="0" applyFill="0" applyBorder="0" applyAlignment="0" applyProtection="0"/>
  </cellStyleXfs>
  <cellXfs count="115">
    <xf numFmtId="0" fontId="0" fillId="0" borderId="0" xfId="0"/>
    <xf numFmtId="0" fontId="3" fillId="0" borderId="0" xfId="0" applyFont="1"/>
    <xf numFmtId="0" fontId="3" fillId="3" borderId="0" xfId="0" applyFont="1" applyFill="1"/>
    <xf numFmtId="43" fontId="3" fillId="3" borderId="0" xfId="1" applyFont="1" applyFill="1"/>
    <xf numFmtId="0" fontId="3" fillId="3" borderId="0" xfId="0" applyFont="1" applyFill="1" applyAlignment="1">
      <alignment horizontal="left"/>
    </xf>
    <xf numFmtId="0" fontId="3" fillId="3" borderId="0" xfId="0" applyFont="1" applyFill="1" applyAlignment="1">
      <alignment wrapText="1"/>
    </xf>
    <xf numFmtId="43" fontId="3" fillId="3" borderId="0" xfId="0" applyNumberFormat="1" applyFont="1" applyFill="1"/>
    <xf numFmtId="0" fontId="4" fillId="3" borderId="0" xfId="0" applyFont="1" applyFill="1"/>
    <xf numFmtId="43" fontId="4" fillId="3" borderId="0" xfId="0" applyNumberFormat="1" applyFont="1" applyFill="1"/>
    <xf numFmtId="0" fontId="3" fillId="0" borderId="0" xfId="0" applyFont="1" applyAlignment="1">
      <alignment horizontal="left"/>
    </xf>
    <xf numFmtId="43" fontId="6" fillId="2" borderId="1" xfId="1" applyFont="1" applyFill="1" applyBorder="1" applyAlignment="1">
      <alignment horizontal="center" vertical="center" wrapText="1"/>
    </xf>
    <xf numFmtId="0" fontId="7" fillId="0" borderId="1" xfId="1" applyNumberFormat="1" applyFont="1" applyBorder="1" applyAlignment="1">
      <alignment horizontal="center" vertical="center"/>
    </xf>
    <xf numFmtId="165" fontId="7" fillId="0" borderId="1" xfId="1" applyNumberFormat="1" applyFont="1" applyBorder="1" applyAlignment="1">
      <alignment horizontal="center" vertical="center"/>
    </xf>
    <xf numFmtId="11" fontId="7" fillId="0" borderId="1" xfId="1" applyNumberFormat="1" applyFont="1" applyBorder="1" applyAlignment="1">
      <alignment horizontal="center" vertical="center"/>
    </xf>
    <xf numFmtId="43" fontId="7" fillId="0" borderId="1" xfId="1" applyFont="1" applyBorder="1" applyAlignment="1">
      <alignment vertical="center"/>
    </xf>
    <xf numFmtId="0" fontId="4" fillId="0" borderId="0" xfId="0" applyFont="1"/>
    <xf numFmtId="3" fontId="3" fillId="0" borderId="0" xfId="0" applyNumberFormat="1" applyFont="1"/>
    <xf numFmtId="43" fontId="3" fillId="0" borderId="0" xfId="1" applyFont="1" applyFill="1"/>
    <xf numFmtId="43" fontId="3" fillId="0" borderId="0" xfId="0" applyNumberFormat="1" applyFont="1"/>
    <xf numFmtId="164" fontId="3" fillId="0" borderId="0" xfId="2" applyNumberFormat="1" applyFont="1" applyFill="1"/>
    <xf numFmtId="43" fontId="4" fillId="0" borderId="0" xfId="0" applyNumberFormat="1" applyFont="1"/>
    <xf numFmtId="43" fontId="5" fillId="0" borderId="0" xfId="0" applyNumberFormat="1" applyFont="1"/>
    <xf numFmtId="167" fontId="7" fillId="0" borderId="1" xfId="1" applyNumberFormat="1" applyFont="1" applyBorder="1" applyAlignment="1">
      <alignment horizontal="center" vertical="center"/>
    </xf>
    <xf numFmtId="168" fontId="7" fillId="0" borderId="1" xfId="1" applyNumberFormat="1" applyFont="1" applyBorder="1" applyAlignment="1">
      <alignment horizontal="center" vertical="center"/>
    </xf>
    <xf numFmtId="166" fontId="3" fillId="3" borderId="0" xfId="2" applyNumberFormat="1" applyFont="1" applyFill="1"/>
    <xf numFmtId="43" fontId="7" fillId="0" borderId="2" xfId="1" applyFont="1" applyBorder="1" applyAlignment="1">
      <alignment vertical="center"/>
    </xf>
    <xf numFmtId="165" fontId="7" fillId="0" borderId="2" xfId="1" applyNumberFormat="1" applyFont="1" applyBorder="1" applyAlignment="1">
      <alignment horizontal="center" vertical="center"/>
    </xf>
    <xf numFmtId="11" fontId="7" fillId="0" borderId="2" xfId="1" applyNumberFormat="1" applyFont="1" applyBorder="1" applyAlignment="1">
      <alignment horizontal="center" vertical="center"/>
    </xf>
    <xf numFmtId="0" fontId="7" fillId="0" borderId="2" xfId="1" applyNumberFormat="1" applyFont="1" applyBorder="1" applyAlignment="1">
      <alignment horizontal="center" vertical="center"/>
    </xf>
    <xf numFmtId="167" fontId="7" fillId="0" borderId="2" xfId="1" applyNumberFormat="1" applyFont="1" applyBorder="1" applyAlignment="1">
      <alignment horizontal="center" vertical="center"/>
    </xf>
    <xf numFmtId="168" fontId="7" fillId="0" borderId="2" xfId="1" applyNumberFormat="1" applyFont="1" applyBorder="1" applyAlignment="1">
      <alignment horizontal="center" vertical="center"/>
    </xf>
    <xf numFmtId="165" fontId="7" fillId="0" borderId="3" xfId="1" applyNumberFormat="1" applyFont="1" applyBorder="1" applyAlignment="1">
      <alignment horizontal="center" vertical="center"/>
    </xf>
    <xf numFmtId="11" fontId="7" fillId="0" borderId="3" xfId="1" applyNumberFormat="1" applyFont="1" applyBorder="1" applyAlignment="1">
      <alignment horizontal="center" vertical="center"/>
    </xf>
    <xf numFmtId="0" fontId="7" fillId="0" borderId="3" xfId="1" applyNumberFormat="1" applyFont="1" applyBorder="1" applyAlignment="1">
      <alignment horizontal="center" vertical="center"/>
    </xf>
    <xf numFmtId="167" fontId="7" fillId="0" borderId="3" xfId="1" applyNumberFormat="1" applyFont="1" applyBorder="1" applyAlignment="1">
      <alignment horizontal="center" vertical="center"/>
    </xf>
    <xf numFmtId="168" fontId="7" fillId="0" borderId="3" xfId="1" applyNumberFormat="1" applyFont="1" applyBorder="1" applyAlignment="1">
      <alignment horizontal="center" vertical="center"/>
    </xf>
    <xf numFmtId="0" fontId="0" fillId="0" borderId="4" xfId="0" applyBorder="1"/>
    <xf numFmtId="0" fontId="8" fillId="0" borderId="0" xfId="0" applyFont="1" applyAlignment="1">
      <alignment horizontal="right"/>
    </xf>
    <xf numFmtId="0" fontId="10" fillId="0" borderId="0" xfId="0" applyFont="1"/>
    <xf numFmtId="0" fontId="8" fillId="4" borderId="16" xfId="0" applyFont="1" applyFill="1"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13" fillId="0" borderId="0" xfId="0" applyFont="1" applyAlignment="1">
      <alignment wrapText="1"/>
    </xf>
    <xf numFmtId="0" fontId="13" fillId="0" borderId="0" xfId="0" applyFont="1" applyAlignment="1">
      <alignment vertical="top" wrapText="1"/>
    </xf>
    <xf numFmtId="0" fontId="13" fillId="0" borderId="0" xfId="0" applyFont="1" applyAlignment="1">
      <alignment horizontal="left"/>
    </xf>
    <xf numFmtId="0" fontId="13" fillId="0" borderId="0" xfId="0" applyFont="1" applyAlignment="1">
      <alignment horizontal="left" vertical="top"/>
    </xf>
    <xf numFmtId="0" fontId="0" fillId="0" borderId="11" xfId="0" applyBorder="1"/>
    <xf numFmtId="0" fontId="8" fillId="0" borderId="0" xfId="0" applyFont="1" applyAlignment="1">
      <alignment horizontal="right" vertical="center"/>
    </xf>
    <xf numFmtId="0" fontId="0" fillId="0" borderId="0" xfId="0" applyAlignment="1">
      <alignment horizontal="left" vertical="center"/>
    </xf>
    <xf numFmtId="0" fontId="8" fillId="0" borderId="0" xfId="0" applyFont="1" applyAlignment="1">
      <alignment horizontal="left" vertical="center"/>
    </xf>
    <xf numFmtId="0" fontId="0" fillId="0" borderId="0" xfId="0" applyAlignment="1">
      <alignment horizontal="right" vertical="center" wrapText="1"/>
    </xf>
    <xf numFmtId="0" fontId="11" fillId="6" borderId="5" xfId="0" applyFont="1" applyFill="1" applyBorder="1" applyAlignment="1">
      <alignment horizontal="centerContinuous"/>
    </xf>
    <xf numFmtId="0" fontId="9" fillId="6" borderId="6" xfId="0" applyFont="1" applyFill="1" applyBorder="1" applyAlignment="1">
      <alignment horizontal="centerContinuous"/>
    </xf>
    <xf numFmtId="0" fontId="9" fillId="8" borderId="6" xfId="0" applyFont="1" applyFill="1" applyBorder="1" applyAlignment="1">
      <alignment horizontal="centerContinuous"/>
    </xf>
    <xf numFmtId="0" fontId="0" fillId="0" borderId="0" xfId="0" applyAlignment="1">
      <alignment vertical="top"/>
    </xf>
    <xf numFmtId="0" fontId="0" fillId="0" borderId="1" xfId="0" applyBorder="1" applyAlignment="1">
      <alignment horizontal="right"/>
    </xf>
    <xf numFmtId="43" fontId="0" fillId="0" borderId="1" xfId="0" applyNumberFormat="1" applyBorder="1" applyAlignment="1">
      <alignment horizontal="right"/>
    </xf>
    <xf numFmtId="43" fontId="0" fillId="0" borderId="10" xfId="0" applyNumberFormat="1" applyBorder="1" applyAlignment="1">
      <alignment horizontal="right"/>
    </xf>
    <xf numFmtId="0" fontId="0" fillId="0" borderId="0" xfId="0" applyAlignment="1">
      <alignment horizontal="center" wrapText="1"/>
    </xf>
    <xf numFmtId="43" fontId="0" fillId="0" borderId="0" xfId="0" applyNumberFormat="1"/>
    <xf numFmtId="0" fontId="11" fillId="11" borderId="6" xfId="0" applyFont="1" applyFill="1" applyBorder="1" applyAlignment="1">
      <alignment horizontal="center"/>
    </xf>
    <xf numFmtId="0" fontId="6" fillId="7" borderId="20" xfId="1" applyNumberFormat="1" applyFont="1" applyFill="1" applyBorder="1" applyAlignment="1" applyProtection="1">
      <alignment horizontal="center" vertical="center" wrapText="1"/>
    </xf>
    <xf numFmtId="0" fontId="6" fillId="7" borderId="21" xfId="1" applyNumberFormat="1" applyFont="1" applyFill="1" applyBorder="1" applyAlignment="1" applyProtection="1">
      <alignment horizontal="center" vertical="center" wrapText="1"/>
    </xf>
    <xf numFmtId="0" fontId="6" fillId="7" borderId="22" xfId="1" applyNumberFormat="1" applyFont="1" applyFill="1" applyBorder="1" applyAlignment="1" applyProtection="1">
      <alignment horizontal="center" vertical="center" wrapText="1"/>
    </xf>
    <xf numFmtId="0" fontId="6" fillId="9" borderId="22" xfId="1" applyNumberFormat="1" applyFont="1" applyFill="1" applyBorder="1" applyAlignment="1" applyProtection="1">
      <alignment horizontal="center" vertical="center" wrapText="1"/>
    </xf>
    <xf numFmtId="0" fontId="6" fillId="12" borderId="23" xfId="1" applyNumberFormat="1" applyFont="1" applyFill="1" applyBorder="1" applyAlignment="1" applyProtection="1">
      <alignment horizontal="center" vertical="center" wrapText="1"/>
    </xf>
    <xf numFmtId="11" fontId="0" fillId="0" borderId="0" xfId="0" applyNumberFormat="1"/>
    <xf numFmtId="0" fontId="6" fillId="14" borderId="22" xfId="1" applyNumberFormat="1" applyFont="1" applyFill="1" applyBorder="1" applyAlignment="1" applyProtection="1">
      <alignment horizontal="center" vertical="center" wrapText="1"/>
    </xf>
    <xf numFmtId="0" fontId="6" fillId="14" borderId="21" xfId="1" applyNumberFormat="1" applyFont="1" applyFill="1" applyBorder="1" applyAlignment="1" applyProtection="1">
      <alignment horizontal="center" vertical="center" wrapText="1"/>
    </xf>
    <xf numFmtId="0" fontId="0" fillId="0" borderId="26" xfId="0" applyBorder="1"/>
    <xf numFmtId="0" fontId="11" fillId="13" borderId="6" xfId="0" applyFont="1" applyFill="1" applyBorder="1" applyAlignment="1">
      <alignment horizontal="centerContinuous"/>
    </xf>
    <xf numFmtId="0" fontId="6" fillId="7" borderId="24" xfId="1" applyNumberFormat="1" applyFont="1" applyFill="1" applyBorder="1" applyAlignment="1" applyProtection="1">
      <alignment horizontal="center" vertical="center" wrapText="1"/>
    </xf>
    <xf numFmtId="0" fontId="9" fillId="8" borderId="5" xfId="0" applyFont="1" applyFill="1" applyBorder="1" applyAlignment="1">
      <alignment horizontal="centerContinuous"/>
    </xf>
    <xf numFmtId="0" fontId="6" fillId="9" borderId="20" xfId="1" applyNumberFormat="1" applyFont="1" applyFill="1" applyBorder="1" applyAlignment="1" applyProtection="1">
      <alignment horizontal="center" vertical="center" wrapText="1"/>
    </xf>
    <xf numFmtId="0" fontId="6" fillId="9" borderId="24" xfId="1" applyNumberFormat="1" applyFont="1" applyFill="1" applyBorder="1" applyAlignment="1" applyProtection="1">
      <alignment horizontal="center" vertical="center" wrapText="1"/>
    </xf>
    <xf numFmtId="0" fontId="9" fillId="15" borderId="5" xfId="0" applyFont="1" applyFill="1" applyBorder="1" applyAlignment="1">
      <alignment horizontal="centerContinuous"/>
    </xf>
    <xf numFmtId="0" fontId="6" fillId="12" borderId="29" xfId="1" applyNumberFormat="1" applyFont="1" applyFill="1" applyBorder="1" applyAlignment="1" applyProtection="1">
      <alignment horizontal="center" vertical="center" wrapText="1"/>
    </xf>
    <xf numFmtId="43" fontId="0" fillId="0" borderId="9" xfId="0" applyNumberFormat="1" applyBorder="1" applyAlignment="1">
      <alignment horizontal="right"/>
    </xf>
    <xf numFmtId="43" fontId="0" fillId="0" borderId="28" xfId="0" applyNumberFormat="1" applyBorder="1" applyAlignment="1">
      <alignment horizontal="right"/>
    </xf>
    <xf numFmtId="0" fontId="6" fillId="9" borderId="21" xfId="1" applyNumberFormat="1" applyFont="1" applyFill="1" applyBorder="1" applyAlignment="1" applyProtection="1">
      <alignment horizontal="center" vertical="center" wrapText="1"/>
    </xf>
    <xf numFmtId="0" fontId="12" fillId="15" borderId="26" xfId="0" applyFont="1" applyFill="1" applyBorder="1" applyAlignment="1">
      <alignment horizontal="center"/>
    </xf>
    <xf numFmtId="0" fontId="12" fillId="15" borderId="7" xfId="0" applyFont="1" applyFill="1" applyBorder="1" applyAlignment="1">
      <alignment horizontal="center"/>
    </xf>
    <xf numFmtId="0" fontId="6" fillId="12" borderId="30" xfId="1" applyNumberFormat="1" applyFont="1" applyFill="1" applyBorder="1" applyAlignment="1" applyProtection="1">
      <alignment horizontal="center" vertical="center" wrapText="1"/>
    </xf>
    <xf numFmtId="169" fontId="0" fillId="0" borderId="12" xfId="1" applyNumberFormat="1" applyFont="1" applyFill="1" applyBorder="1" applyAlignment="1" applyProtection="1">
      <alignment horizontal="right" wrapText="1"/>
    </xf>
    <xf numFmtId="0" fontId="14" fillId="16" borderId="0" xfId="0" applyFont="1" applyFill="1" applyAlignment="1">
      <alignment horizontal="center" wrapText="1"/>
    </xf>
    <xf numFmtId="0" fontId="0" fillId="16" borderId="0" xfId="0" applyFill="1"/>
    <xf numFmtId="0" fontId="15" fillId="16" borderId="0" xfId="0" applyFont="1" applyFill="1" applyAlignment="1">
      <alignment horizontal="left" vertical="center"/>
    </xf>
    <xf numFmtId="11" fontId="0" fillId="0" borderId="31" xfId="0" applyNumberFormat="1" applyBorder="1" applyAlignment="1">
      <alignment horizontal="right"/>
    </xf>
    <xf numFmtId="3" fontId="0" fillId="5" borderId="9" xfId="0" applyNumberFormat="1" applyFill="1" applyBorder="1" applyAlignment="1" applyProtection="1">
      <alignment horizontal="right"/>
      <protection locked="0"/>
    </xf>
    <xf numFmtId="3" fontId="0" fillId="5" borderId="15" xfId="0" applyNumberFormat="1" applyFill="1" applyBorder="1" applyAlignment="1" applyProtection="1">
      <alignment horizontal="right"/>
      <protection locked="0"/>
    </xf>
    <xf numFmtId="11" fontId="0" fillId="5" borderId="1" xfId="0" applyNumberFormat="1" applyFill="1" applyBorder="1" applyAlignment="1" applyProtection="1">
      <alignment horizontal="right"/>
      <protection locked="0"/>
    </xf>
    <xf numFmtId="3" fontId="0" fillId="5" borderId="25" xfId="0" applyNumberFormat="1" applyFill="1" applyBorder="1" applyAlignment="1" applyProtection="1">
      <alignment horizontal="right"/>
      <protection locked="0"/>
    </xf>
    <xf numFmtId="0" fontId="0" fillId="5" borderId="25" xfId="0" applyFill="1" applyBorder="1" applyAlignment="1" applyProtection="1">
      <alignment horizontal="right"/>
      <protection locked="0"/>
    </xf>
    <xf numFmtId="0" fontId="0" fillId="0" borderId="9" xfId="0" applyBorder="1" applyAlignment="1">
      <alignment horizontal="right"/>
    </xf>
    <xf numFmtId="0" fontId="0" fillId="0" borderId="15" xfId="0" applyBorder="1" applyAlignment="1">
      <alignment horizontal="right"/>
    </xf>
    <xf numFmtId="11" fontId="0" fillId="0" borderId="15" xfId="0" applyNumberFormat="1" applyBorder="1" applyAlignment="1">
      <alignment horizontal="right"/>
    </xf>
    <xf numFmtId="11" fontId="0" fillId="0" borderId="1" xfId="0" applyNumberFormat="1" applyBorder="1" applyAlignment="1">
      <alignment horizontal="right"/>
    </xf>
    <xf numFmtId="0" fontId="0" fillId="0" borderId="27" xfId="0" applyBorder="1" applyAlignment="1">
      <alignment horizontal="right"/>
    </xf>
    <xf numFmtId="0" fontId="0" fillId="0" borderId="2" xfId="0" applyBorder="1" applyAlignment="1">
      <alignment horizontal="right"/>
    </xf>
    <xf numFmtId="3" fontId="0" fillId="5" borderId="19" xfId="0" applyNumberFormat="1" applyFill="1" applyBorder="1" applyAlignment="1" applyProtection="1">
      <alignment horizontal="right"/>
      <protection locked="0"/>
    </xf>
    <xf numFmtId="0" fontId="0" fillId="0" borderId="28" xfId="0" applyBorder="1" applyAlignment="1">
      <alignment horizontal="right"/>
    </xf>
    <xf numFmtId="0" fontId="0" fillId="0" borderId="10" xfId="0" applyBorder="1" applyAlignment="1">
      <alignment horizontal="right"/>
    </xf>
    <xf numFmtId="169" fontId="0" fillId="0" borderId="32" xfId="1" applyNumberFormat="1" applyFont="1" applyFill="1" applyBorder="1" applyAlignment="1" applyProtection="1">
      <alignment horizontal="right" wrapText="1"/>
    </xf>
    <xf numFmtId="0" fontId="8" fillId="4" borderId="18" xfId="0" applyFont="1" applyFill="1" applyBorder="1" applyAlignment="1">
      <alignment horizontal="left" vertical="center"/>
    </xf>
    <xf numFmtId="0" fontId="8" fillId="4" borderId="15" xfId="0" applyFont="1" applyFill="1" applyBorder="1" applyAlignment="1">
      <alignment horizontal="left" vertical="center"/>
    </xf>
    <xf numFmtId="0" fontId="11" fillId="10" borderId="12" xfId="0" applyFont="1" applyFill="1" applyBorder="1" applyAlignment="1">
      <alignment horizontal="center"/>
    </xf>
    <xf numFmtId="0" fontId="11" fillId="10" borderId="11" xfId="0" applyFont="1" applyFill="1" applyBorder="1" applyAlignment="1">
      <alignment horizontal="center"/>
    </xf>
    <xf numFmtId="0" fontId="11" fillId="10" borderId="13" xfId="0" applyFont="1" applyFill="1" applyBorder="1" applyAlignment="1">
      <alignment horizontal="center"/>
    </xf>
    <xf numFmtId="0" fontId="0" fillId="0" borderId="0" xfId="0" applyAlignment="1">
      <alignment horizontal="left" vertical="center" wrapText="1"/>
    </xf>
    <xf numFmtId="0" fontId="16" fillId="0" borderId="0" xfId="5"/>
    <xf numFmtId="0" fontId="16" fillId="0" borderId="0" xfId="5" applyAlignment="1">
      <alignment horizontal="left" vertical="center"/>
    </xf>
    <xf numFmtId="0" fontId="0" fillId="0" borderId="14" xfId="0" applyBorder="1" applyAlignment="1"/>
    <xf numFmtId="0" fontId="0" fillId="0" borderId="8" xfId="0" applyBorder="1" applyAlignment="1"/>
    <xf numFmtId="0" fontId="0" fillId="0" borderId="15" xfId="0" applyBorder="1" applyAlignment="1"/>
    <xf numFmtId="0" fontId="0" fillId="0" borderId="1" xfId="0" applyBorder="1" applyAlignment="1"/>
  </cellXfs>
  <cellStyles count="6">
    <cellStyle name="Comma" xfId="1" builtinId="3"/>
    <cellStyle name="Currency" xfId="2" builtinId="4"/>
    <cellStyle name="Hyperlink" xfId="5" builtinId="8"/>
    <cellStyle name="Normal" xfId="0" builtinId="0"/>
    <cellStyle name="Normal 2" xfId="3" xr:uid="{A2E5E21C-EA2B-427C-B7EC-44A33B1532A8}"/>
    <cellStyle name="Percent 2" xfId="4" xr:uid="{5D0D5BE8-77EF-41D6-9050-FFFE192F0489}"/>
  </cellStyles>
  <dxfs count="4">
    <dxf>
      <font>
        <b/>
        <i val="0"/>
        <color rgb="FFC00000"/>
      </font>
    </dxf>
    <dxf>
      <font>
        <b val="0"/>
        <i/>
        <color rgb="FFC00000"/>
      </font>
    </dxf>
    <dxf>
      <font>
        <b val="0"/>
        <i/>
        <color theme="5"/>
      </font>
    </dxf>
    <dxf>
      <font>
        <b/>
        <i val="0"/>
        <color rgb="FFC00000"/>
      </font>
    </dxf>
  </dxfs>
  <tableStyles count="0" defaultTableStyle="TableStyleMedium2" defaultPivotStyle="PivotStyleLight16"/>
  <colors>
    <mruColors>
      <color rgb="FFFFC7CE"/>
      <color rgb="FF9B0005"/>
      <color rgb="FF738D36"/>
      <color rgb="FFD6E4B7"/>
      <color rgb="FF178DA2"/>
      <color rgb="FFFFEF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17585</xdr:colOff>
      <xdr:row>0</xdr:row>
      <xdr:rowOff>0</xdr:rowOff>
    </xdr:from>
    <xdr:to>
      <xdr:col>2</xdr:col>
      <xdr:colOff>1239235</xdr:colOff>
      <xdr:row>3</xdr:row>
      <xdr:rowOff>160020</xdr:rowOff>
    </xdr:to>
    <xdr:pic>
      <xdr:nvPicPr>
        <xdr:cNvPr id="3" name="Picture 2">
          <a:extLst>
            <a:ext uri="{FF2B5EF4-FFF2-40B4-BE49-F238E27FC236}">
              <a16:creationId xmlns:a16="http://schemas.microsoft.com/office/drawing/2014/main" id="{326265B5-87DB-B942-E763-4DF9FF9CD7AC}"/>
            </a:ext>
          </a:extLst>
        </xdr:cNvPr>
        <xdr:cNvPicPr>
          <a:picLocks noChangeAspect="1"/>
        </xdr:cNvPicPr>
      </xdr:nvPicPr>
      <xdr:blipFill rotWithShape="1">
        <a:blip xmlns:r="http://schemas.openxmlformats.org/officeDocument/2006/relationships" r:embed="rId1"/>
        <a:srcRect b="12704"/>
        <a:stretch/>
      </xdr:blipFill>
      <xdr:spPr>
        <a:xfrm>
          <a:off x="17585" y="0"/>
          <a:ext cx="3096170" cy="731520"/>
        </a:xfrm>
        <a:prstGeom prst="rect">
          <a:avLst/>
        </a:prstGeom>
      </xdr:spPr>
    </xdr:pic>
    <xdr:clientData/>
  </xdr:twoCellAnchor>
</xdr:wsDr>
</file>

<file path=xl/theme/theme1.xml><?xml version="1.0" encoding="utf-8"?>
<a:theme xmlns:a="http://schemas.openxmlformats.org/drawingml/2006/main" name="Emulate">
  <a:themeElements>
    <a:clrScheme name="Custom 1">
      <a:dk1>
        <a:srgbClr val="474B4F"/>
      </a:dk1>
      <a:lt1>
        <a:srgbClr val="F8F8F8"/>
      </a:lt1>
      <a:dk2>
        <a:srgbClr val="474B4F"/>
      </a:dk2>
      <a:lt2>
        <a:srgbClr val="C7C8CA"/>
      </a:lt2>
      <a:accent1>
        <a:srgbClr val="55B9DF"/>
      </a:accent1>
      <a:accent2>
        <a:srgbClr val="DA4398"/>
      </a:accent2>
      <a:accent3>
        <a:srgbClr val="F3C844"/>
      </a:accent3>
      <a:accent4>
        <a:srgbClr val="98BA4B"/>
      </a:accent4>
      <a:accent5>
        <a:srgbClr val="188DA2"/>
      </a:accent5>
      <a:accent6>
        <a:srgbClr val="4D2A84"/>
      </a:accent6>
      <a:hlink>
        <a:srgbClr val="55B9DF"/>
      </a:hlink>
      <a:folHlink>
        <a:srgbClr val="919191"/>
      </a:folHlink>
    </a:clrScheme>
    <a:fontScheme name="Arial Defaul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Emulate" id="{0CA9BAC9-24FC-4F13-9F6B-2D10B3FE0ED1}" vid="{381BCDD7-CF00-4B12-A2BF-484B010B2938}"/>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AAV%20Dosing%20and%20Solution%20Treatment%20Protocol" TargetMode="External"/><Relationship Id="rId1" Type="http://schemas.openxmlformats.org/officeDocument/2006/relationships/hyperlink" Target="https://emulatebio.com/organ-chips-gene-therapy-vector-transductio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mulatebio.com/support/ep-2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41810-0D2E-6A42-94B9-5F4CBC8893F9}">
  <dimension ref="A1:Q36"/>
  <sheetViews>
    <sheetView workbookViewId="0">
      <selection activeCell="C11" sqref="C11"/>
    </sheetView>
  </sheetViews>
  <sheetFormatPr defaultColWidth="10.77734375" defaultRowHeight="15"/>
  <cols>
    <col min="1" max="1" width="54.77734375" customWidth="1"/>
    <col min="2" max="2" width="20.21875" customWidth="1"/>
    <col min="3" max="3" width="9.44140625" customWidth="1"/>
    <col min="4" max="4" width="17.5546875" customWidth="1"/>
    <col min="7" max="7" width="24.5546875" customWidth="1"/>
    <col min="8" max="8" width="12.77734375" customWidth="1"/>
    <col min="9" max="9" width="19.77734375" customWidth="1"/>
    <col min="10" max="10" width="22.77734375" customWidth="1"/>
    <col min="11" max="11" width="10.21875" customWidth="1"/>
    <col min="12" max="12" width="11.21875" customWidth="1"/>
    <col min="13" max="13" width="20.21875" customWidth="1"/>
    <col min="14" max="14" width="11.21875" customWidth="1"/>
    <col min="15" max="15" width="12.21875" customWidth="1"/>
    <col min="16" max="16" width="13.21875" customWidth="1"/>
  </cols>
  <sheetData>
    <row r="1" spans="1:17" ht="15.6">
      <c r="A1" s="1" t="s">
        <v>0</v>
      </c>
      <c r="B1" s="1"/>
      <c r="C1" s="1"/>
      <c r="D1" s="1"/>
      <c r="E1" s="1"/>
      <c r="F1" s="1"/>
      <c r="G1" s="1"/>
      <c r="H1" s="1"/>
      <c r="I1" s="1"/>
      <c r="J1" s="1"/>
      <c r="K1" s="1"/>
      <c r="L1" s="1"/>
    </row>
    <row r="2" spans="1:17" ht="15.6">
      <c r="A2" s="2" t="s">
        <v>1</v>
      </c>
      <c r="B2" s="2"/>
      <c r="C2" s="2"/>
      <c r="D2" s="2"/>
      <c r="E2" s="2"/>
      <c r="F2" s="2"/>
      <c r="G2" s="1"/>
      <c r="H2" s="1"/>
      <c r="I2" s="1"/>
      <c r="J2" s="1"/>
      <c r="K2" s="1"/>
      <c r="L2" s="1"/>
    </row>
    <row r="3" spans="1:17" ht="15.6">
      <c r="A3" s="2" t="s">
        <v>2</v>
      </c>
      <c r="B3" s="2"/>
      <c r="C3" s="2"/>
      <c r="D3" s="2"/>
      <c r="E3" s="2"/>
      <c r="F3" s="2"/>
      <c r="G3" s="1"/>
      <c r="H3" s="1"/>
      <c r="I3" s="1"/>
      <c r="J3" s="1"/>
      <c r="K3" s="1"/>
      <c r="L3" s="1"/>
    </row>
    <row r="4" spans="1:17" ht="15.6">
      <c r="A4" s="2"/>
      <c r="B4" s="2"/>
      <c r="C4" s="2"/>
      <c r="D4" s="2"/>
      <c r="E4" s="2"/>
      <c r="F4" s="2"/>
      <c r="G4" s="1"/>
      <c r="H4" s="1"/>
      <c r="I4" s="1"/>
      <c r="J4" s="1"/>
      <c r="K4" s="1"/>
      <c r="L4" s="1"/>
    </row>
    <row r="5" spans="1:17" ht="15.6">
      <c r="A5" s="2" t="s">
        <v>3</v>
      </c>
      <c r="B5" s="3">
        <v>500000</v>
      </c>
      <c r="C5" s="2"/>
      <c r="D5" s="2"/>
      <c r="E5" s="4"/>
      <c r="F5" s="4"/>
      <c r="G5" s="9" t="s">
        <v>4</v>
      </c>
      <c r="H5" s="1"/>
      <c r="I5" s="1"/>
      <c r="J5" s="1"/>
      <c r="K5" s="1"/>
      <c r="L5" s="1"/>
    </row>
    <row r="6" spans="1:17" ht="15.6">
      <c r="A6" s="5" t="s">
        <v>5</v>
      </c>
      <c r="B6" s="3">
        <f>B5</f>
        <v>500000</v>
      </c>
      <c r="C6" s="2"/>
      <c r="D6" s="2"/>
      <c r="E6" s="4"/>
      <c r="F6" s="4"/>
      <c r="G6" s="9"/>
      <c r="H6" s="1"/>
      <c r="I6" s="1"/>
      <c r="J6" s="1"/>
      <c r="K6" s="1"/>
      <c r="L6" s="1"/>
    </row>
    <row r="7" spans="1:17" ht="15.6">
      <c r="A7" s="2" t="s">
        <v>6</v>
      </c>
      <c r="B7" s="3">
        <f>B6*40000</f>
        <v>20000000000</v>
      </c>
      <c r="C7" s="2"/>
      <c r="D7" s="2"/>
      <c r="E7" s="4"/>
      <c r="F7" s="4"/>
      <c r="G7" s="9"/>
      <c r="H7" s="1"/>
      <c r="I7" s="1"/>
      <c r="J7" s="1"/>
      <c r="K7" s="1"/>
      <c r="L7" s="1"/>
    </row>
    <row r="8" spans="1:17" ht="15.6">
      <c r="A8" s="2" t="s">
        <v>7</v>
      </c>
      <c r="B8" s="2"/>
      <c r="C8" s="2"/>
      <c r="D8" s="2"/>
      <c r="E8" s="4"/>
      <c r="F8" s="4"/>
      <c r="G8" s="9"/>
      <c r="H8" s="1"/>
      <c r="I8" s="1"/>
      <c r="J8" s="1"/>
      <c r="K8" s="1"/>
      <c r="L8" s="1"/>
    </row>
    <row r="9" spans="1:17" ht="89.25" customHeight="1">
      <c r="A9" s="2" t="s">
        <v>8</v>
      </c>
      <c r="B9" s="2"/>
      <c r="C9" s="2"/>
      <c r="D9" s="6">
        <f>B7*1/0.72</f>
        <v>27777777777.777779</v>
      </c>
      <c r="E9" s="5"/>
      <c r="F9" s="5"/>
      <c r="G9" s="10" t="s">
        <v>9</v>
      </c>
      <c r="H9" s="10" t="s">
        <v>10</v>
      </c>
      <c r="I9" s="10" t="s">
        <v>11</v>
      </c>
      <c r="J9" s="10" t="s">
        <v>12</v>
      </c>
      <c r="K9" s="10" t="s">
        <v>13</v>
      </c>
      <c r="L9" s="10" t="s">
        <v>14</v>
      </c>
      <c r="M9" s="10" t="s">
        <v>15</v>
      </c>
      <c r="N9" s="10" t="s">
        <v>16</v>
      </c>
      <c r="O9" s="10" t="s">
        <v>17</v>
      </c>
      <c r="P9" s="10" t="s">
        <v>18</v>
      </c>
      <c r="Q9" t="s">
        <v>19</v>
      </c>
    </row>
    <row r="10" spans="1:17" ht="15.6">
      <c r="A10" s="2" t="s">
        <v>20</v>
      </c>
      <c r="B10" s="2"/>
      <c r="C10" s="2">
        <f>5000000000000</f>
        <v>5000000000000</v>
      </c>
      <c r="D10" s="2" t="s">
        <v>21</v>
      </c>
      <c r="E10" s="2"/>
      <c r="F10" s="2"/>
      <c r="G10" s="14" t="s">
        <v>22</v>
      </c>
      <c r="H10" s="12">
        <v>500000</v>
      </c>
      <c r="I10" s="13">
        <f>H10*40000</f>
        <v>20000000000</v>
      </c>
      <c r="J10" s="13">
        <f>C10</f>
        <v>5000000000000</v>
      </c>
      <c r="K10" s="11">
        <v>0.72</v>
      </c>
      <c r="L10" s="11">
        <v>6</v>
      </c>
      <c r="M10" s="13">
        <f>I10*1/K10</f>
        <v>27777777777.777779</v>
      </c>
      <c r="N10" s="11">
        <v>6.5</v>
      </c>
      <c r="O10" s="22">
        <f>M10/J10</f>
        <v>5.5555555555555558E-3</v>
      </c>
      <c r="P10" s="23">
        <f>N10*O10</f>
        <v>3.6111111111111115E-2</v>
      </c>
      <c r="Q10">
        <f>P10*1000</f>
        <v>36.111111111111114</v>
      </c>
    </row>
    <row r="11" spans="1:17" ht="16.899999999999999" customHeight="1">
      <c r="A11" s="2" t="s">
        <v>23</v>
      </c>
      <c r="B11" s="2"/>
      <c r="C11" s="24">
        <f>D9/C10</f>
        <v>5.5555555555555558E-3</v>
      </c>
      <c r="D11" s="2" t="s">
        <v>24</v>
      </c>
      <c r="E11" s="6"/>
      <c r="F11" s="2"/>
      <c r="G11" s="14" t="s">
        <v>25</v>
      </c>
      <c r="H11" s="12">
        <v>500000</v>
      </c>
      <c r="I11" s="13">
        <f>H11*40000</f>
        <v>20000000000</v>
      </c>
      <c r="J11" s="13">
        <v>5000000000000</v>
      </c>
      <c r="K11" s="11">
        <v>0.72</v>
      </c>
      <c r="L11" s="11">
        <v>6</v>
      </c>
      <c r="M11" s="13">
        <v>27777777777.777779</v>
      </c>
      <c r="N11" s="11">
        <v>6.5</v>
      </c>
      <c r="O11" s="22">
        <v>5.5555555555555601E-3</v>
      </c>
      <c r="P11" s="23">
        <v>3.6111111111111115E-2</v>
      </c>
      <c r="Q11">
        <v>36.111111111111114</v>
      </c>
    </row>
    <row r="12" spans="1:17" ht="15.6">
      <c r="A12" s="7"/>
      <c r="B12" s="7"/>
      <c r="C12" s="7"/>
      <c r="D12" s="2"/>
      <c r="E12" s="2"/>
      <c r="F12" s="2"/>
      <c r="G12" s="25" t="s">
        <v>26</v>
      </c>
      <c r="H12" s="26">
        <v>500000</v>
      </c>
      <c r="I12" s="27">
        <f>H12*40000</f>
        <v>20000000000</v>
      </c>
      <c r="J12" s="27">
        <f>3300000000000</f>
        <v>3300000000000</v>
      </c>
      <c r="K12" s="28">
        <v>0.72</v>
      </c>
      <c r="L12" s="28">
        <v>3</v>
      </c>
      <c r="M12" s="27">
        <f>I12*1/K12</f>
        <v>27777777777.777779</v>
      </c>
      <c r="N12" s="28">
        <v>3.5</v>
      </c>
      <c r="O12" s="29">
        <f>M12/J12</f>
        <v>8.4175084175084174E-3</v>
      </c>
      <c r="P12" s="30">
        <f>N12*O12</f>
        <v>2.9461279461279459E-2</v>
      </c>
      <c r="Q12">
        <f>P12*1000</f>
        <v>29.46127946127946</v>
      </c>
    </row>
    <row r="13" spans="1:17" ht="15.6">
      <c r="A13" s="7" t="s">
        <v>27</v>
      </c>
      <c r="B13" s="8">
        <f>C11*5*1000</f>
        <v>27.777777777777779</v>
      </c>
      <c r="C13" s="7" t="s">
        <v>28</v>
      </c>
      <c r="D13" s="7" t="s">
        <v>29</v>
      </c>
      <c r="E13" s="2"/>
      <c r="F13" s="2"/>
      <c r="G13" s="36" t="s">
        <v>30</v>
      </c>
      <c r="H13" s="31">
        <v>500000</v>
      </c>
      <c r="I13" s="32">
        <v>20000000000</v>
      </c>
      <c r="J13" s="32">
        <v>3300000000000</v>
      </c>
      <c r="K13" s="33">
        <v>0.72</v>
      </c>
      <c r="L13" s="33">
        <v>3</v>
      </c>
      <c r="M13" s="32">
        <v>27777777777.777779</v>
      </c>
      <c r="N13" s="33">
        <v>3.5</v>
      </c>
      <c r="O13" s="34">
        <v>8.4175084175084174E-3</v>
      </c>
      <c r="P13" s="35">
        <v>2.9461279461279459E-2</v>
      </c>
      <c r="Q13">
        <v>29.46127946127946</v>
      </c>
    </row>
    <row r="14" spans="1:17" ht="15.6">
      <c r="A14" s="2"/>
      <c r="B14" s="2"/>
      <c r="C14" s="2"/>
      <c r="D14" s="2"/>
      <c r="E14" s="2"/>
      <c r="F14" s="2"/>
    </row>
    <row r="15" spans="1:17" ht="15.6">
      <c r="A15" s="7"/>
      <c r="B15" s="2"/>
      <c r="C15" s="2"/>
      <c r="D15" s="2"/>
      <c r="E15" s="2"/>
      <c r="F15" s="2"/>
      <c r="G15" s="1"/>
      <c r="H15" s="1"/>
      <c r="I15" s="1"/>
      <c r="J15" s="1"/>
      <c r="K15" s="1"/>
      <c r="L15" s="1"/>
    </row>
    <row r="16" spans="1:17" ht="15.6">
      <c r="A16" s="2"/>
      <c r="B16" s="2"/>
      <c r="C16" s="2"/>
      <c r="D16" s="2"/>
      <c r="E16" s="2"/>
      <c r="F16" s="2"/>
      <c r="G16" s="1"/>
      <c r="H16" s="1"/>
      <c r="I16" s="1"/>
      <c r="J16" s="1"/>
      <c r="K16" s="1"/>
      <c r="L16" s="1"/>
    </row>
    <row r="17" spans="1:6" ht="15.6">
      <c r="A17" s="7"/>
      <c r="B17" s="7"/>
      <c r="C17" s="7"/>
      <c r="D17" s="7"/>
      <c r="E17" s="2"/>
      <c r="F17" s="2"/>
    </row>
    <row r="18" spans="1:6" ht="15.6">
      <c r="A18" s="7"/>
      <c r="B18" s="7"/>
      <c r="C18" s="7"/>
      <c r="D18" s="7"/>
      <c r="E18" s="7"/>
      <c r="F18" s="7"/>
    </row>
    <row r="19" spans="1:6" ht="15.6">
      <c r="A19" s="2" t="s">
        <v>31</v>
      </c>
      <c r="B19" s="7"/>
      <c r="C19" s="7"/>
      <c r="D19" s="7"/>
      <c r="E19" s="7"/>
      <c r="F19" s="2"/>
    </row>
    <row r="20" spans="1:6" ht="15.6">
      <c r="A20" s="2"/>
      <c r="B20" s="2"/>
      <c r="C20" s="2"/>
      <c r="D20" s="2"/>
      <c r="E20" s="2"/>
      <c r="F20" s="2"/>
    </row>
    <row r="21" spans="1:6" ht="15.6">
      <c r="A21" s="2"/>
      <c r="B21" s="2"/>
      <c r="C21" s="2"/>
      <c r="D21" s="2"/>
      <c r="E21" s="2"/>
      <c r="F21" s="2"/>
    </row>
    <row r="22" spans="1:6" ht="15.6">
      <c r="A22" s="1"/>
      <c r="B22" s="1"/>
      <c r="C22" s="1"/>
      <c r="D22" s="1"/>
      <c r="E22" s="1"/>
      <c r="F22" s="1"/>
    </row>
    <row r="24" spans="1:6" ht="15.6">
      <c r="A24" s="15"/>
      <c r="B24" s="1"/>
      <c r="C24" s="1"/>
      <c r="D24" s="1"/>
      <c r="E24" s="1"/>
      <c r="F24" s="1"/>
    </row>
    <row r="25" spans="1:6" ht="15.6">
      <c r="A25" s="1"/>
      <c r="B25" s="1"/>
      <c r="C25" s="1"/>
      <c r="D25" s="1"/>
      <c r="E25" s="1"/>
      <c r="F25" s="1"/>
    </row>
    <row r="26" spans="1:6" ht="15.6">
      <c r="A26" s="1"/>
      <c r="B26" s="1"/>
      <c r="C26" s="1"/>
      <c r="D26" s="1"/>
      <c r="E26" s="1"/>
      <c r="F26" s="1"/>
    </row>
    <row r="27" spans="1:6" ht="15.6">
      <c r="A27" s="1"/>
      <c r="B27" s="16"/>
    </row>
    <row r="28" spans="1:6" ht="15.6">
      <c r="A28" s="1"/>
      <c r="B28" s="17"/>
    </row>
    <row r="29" spans="1:6" ht="15.6">
      <c r="A29" s="1"/>
    </row>
    <row r="31" spans="1:6" ht="15.6">
      <c r="A31" s="1"/>
      <c r="B31" s="1"/>
      <c r="C31" s="1"/>
      <c r="D31" s="18"/>
    </row>
    <row r="32" spans="1:6" ht="15.6">
      <c r="A32" s="1"/>
      <c r="B32" s="1"/>
      <c r="C32" s="1"/>
      <c r="D32" s="1"/>
    </row>
    <row r="33" spans="1:4" ht="15.6">
      <c r="A33" s="1"/>
      <c r="B33" s="1"/>
      <c r="C33" s="19"/>
      <c r="D33" s="1"/>
    </row>
    <row r="34" spans="1:4" ht="15.6">
      <c r="A34" s="15"/>
      <c r="B34" s="15"/>
      <c r="C34" s="15"/>
      <c r="D34" s="1"/>
    </row>
    <row r="35" spans="1:4" ht="15.6">
      <c r="A35" s="15"/>
      <c r="B35" s="20"/>
      <c r="C35" s="15"/>
      <c r="D35" s="15"/>
    </row>
    <row r="36" spans="1:4" ht="15.6">
      <c r="A36" s="15"/>
      <c r="B36" s="21"/>
      <c r="C36" s="15"/>
      <c r="D36" s="15"/>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04CC8-8C17-3141-956A-CFC99A95FF90}">
  <dimension ref="A7:H32"/>
  <sheetViews>
    <sheetView showGridLines="0" tabSelected="1" zoomScale="138" zoomScaleNormal="85" workbookViewId="0">
      <pane ySplit="4" topLeftCell="A16" activePane="bottomLeft" state="frozen"/>
      <selection pane="bottomLeft" activeCell="I6" sqref="I6"/>
    </sheetView>
  </sheetViews>
  <sheetFormatPr defaultColWidth="11.21875" defaultRowHeight="15"/>
  <cols>
    <col min="3" max="3" width="15.21875" customWidth="1"/>
    <col min="8" max="8" width="19.21875" customWidth="1"/>
  </cols>
  <sheetData>
    <row r="7" spans="2:3" ht="15.6">
      <c r="B7" s="37" t="s">
        <v>32</v>
      </c>
      <c r="C7" t="s">
        <v>33</v>
      </c>
    </row>
    <row r="8" spans="2:3" ht="15.6">
      <c r="B8" s="37" t="s">
        <v>34</v>
      </c>
      <c r="C8" t="s">
        <v>35</v>
      </c>
    </row>
    <row r="9" spans="2:3" ht="15.75">
      <c r="B9" s="37" t="s">
        <v>36</v>
      </c>
      <c r="C9" s="109" t="s">
        <v>37</v>
      </c>
    </row>
    <row r="10" spans="2:3" ht="15.75">
      <c r="B10" s="37" t="s">
        <v>38</v>
      </c>
      <c r="C10" s="110" t="s">
        <v>39</v>
      </c>
    </row>
    <row r="11" spans="2:3" ht="15.6">
      <c r="B11" s="37"/>
    </row>
    <row r="12" spans="2:3" ht="15.6">
      <c r="B12" s="37" t="s">
        <v>40</v>
      </c>
      <c r="C12" t="s">
        <v>41</v>
      </c>
    </row>
    <row r="13" spans="2:3" ht="15.6">
      <c r="B13" s="37" t="s">
        <v>42</v>
      </c>
      <c r="C13" t="s">
        <v>43</v>
      </c>
    </row>
    <row r="14" spans="2:3" ht="15.6">
      <c r="B14" s="37" t="s">
        <v>44</v>
      </c>
      <c r="C14" t="s">
        <v>45</v>
      </c>
    </row>
    <row r="17" spans="1:8" ht="15.6">
      <c r="A17" s="38"/>
    </row>
    <row r="18" spans="1:8" ht="17.45">
      <c r="B18" s="105" t="s">
        <v>46</v>
      </c>
      <c r="C18" s="106"/>
      <c r="D18" s="106"/>
      <c r="E18" s="106"/>
      <c r="F18" s="106"/>
      <c r="G18" s="106"/>
      <c r="H18" s="107"/>
    </row>
    <row r="19" spans="1:8" ht="15.6">
      <c r="B19" s="39" t="s">
        <v>47</v>
      </c>
      <c r="C19" s="103" t="s">
        <v>48</v>
      </c>
      <c r="D19" s="103"/>
      <c r="E19" s="103"/>
      <c r="F19" s="103"/>
      <c r="G19" s="103"/>
      <c r="H19" s="104"/>
    </row>
    <row r="20" spans="1:8">
      <c r="B20" s="40" t="s">
        <v>49</v>
      </c>
      <c r="C20" s="111" t="s">
        <v>50</v>
      </c>
      <c r="D20" s="112"/>
      <c r="E20" s="112"/>
      <c r="F20" s="112"/>
      <c r="G20" s="112"/>
      <c r="H20" s="112"/>
    </row>
    <row r="21" spans="1:8">
      <c r="B21" s="41" t="s">
        <v>51</v>
      </c>
      <c r="C21" s="113" t="s">
        <v>52</v>
      </c>
      <c r="D21" s="114"/>
      <c r="E21" s="114"/>
      <c r="F21" s="114"/>
      <c r="G21" s="114"/>
      <c r="H21" s="114"/>
    </row>
    <row r="22" spans="1:8">
      <c r="B22" s="41" t="s">
        <v>53</v>
      </c>
      <c r="C22" s="113" t="s">
        <v>54</v>
      </c>
      <c r="D22" s="114"/>
      <c r="E22" s="114"/>
      <c r="F22" s="114"/>
      <c r="G22" s="114"/>
      <c r="H22" s="114"/>
    </row>
    <row r="23" spans="1:8">
      <c r="B23" s="41" t="s">
        <v>55</v>
      </c>
      <c r="C23" s="113" t="s">
        <v>56</v>
      </c>
      <c r="D23" s="114"/>
      <c r="E23" s="114"/>
      <c r="F23" s="114"/>
      <c r="G23" s="114"/>
      <c r="H23" s="114"/>
    </row>
    <row r="24" spans="1:8">
      <c r="B24" s="41" t="s">
        <v>57</v>
      </c>
      <c r="C24" s="113" t="s">
        <v>58</v>
      </c>
      <c r="D24" s="114"/>
      <c r="E24" s="114"/>
      <c r="F24" s="114"/>
      <c r="G24" s="114"/>
      <c r="H24" s="114"/>
    </row>
    <row r="25" spans="1:8">
      <c r="B25" s="41" t="s">
        <v>59</v>
      </c>
      <c r="C25" s="113" t="s">
        <v>60</v>
      </c>
      <c r="D25" s="114"/>
      <c r="E25" s="114"/>
      <c r="F25" s="114"/>
      <c r="G25" s="114"/>
      <c r="H25" s="114"/>
    </row>
    <row r="27" spans="1:8" ht="15" customHeight="1">
      <c r="B27" s="44" t="s">
        <v>61</v>
      </c>
      <c r="C27" s="42"/>
      <c r="D27" s="42"/>
      <c r="E27" s="42"/>
    </row>
    <row r="28" spans="1:8" ht="15" customHeight="1">
      <c r="B28" s="45" t="s">
        <v>62</v>
      </c>
      <c r="C28" s="43"/>
      <c r="D28" s="43"/>
      <c r="E28" s="43"/>
      <c r="F28" s="43"/>
      <c r="G28" s="43"/>
      <c r="H28" s="43"/>
    </row>
    <row r="32" spans="1:8" ht="30.4" customHeight="1"/>
  </sheetData>
  <sheetProtection algorithmName="SHA-512" hashValue="zQ4FDolWxE5qz5q6hFeT7mwcwBbUL/TxcMj/EHJOxgWyjqvIN54DtwMDoB1ujkcqpTQSAd4KFl3mCURaE6M9hg==" saltValue="EtRSu/EUd07wZAZt+WSCug==" spinCount="100000" sheet="1" objects="1" scenarios="1"/>
  <mergeCells count="8">
    <mergeCell ref="C25:H25"/>
    <mergeCell ref="C19:H19"/>
    <mergeCell ref="B18:H18"/>
    <mergeCell ref="C20:H20"/>
    <mergeCell ref="C21:H21"/>
    <mergeCell ref="C22:H22"/>
    <mergeCell ref="C23:H23"/>
    <mergeCell ref="C24:H24"/>
  </mergeCells>
  <hyperlinks>
    <hyperlink ref="C9" r:id="rId1" xr:uid="{9CB35149-602B-49CB-BD47-3B92D85999BE}"/>
    <hyperlink ref="C10" r:id="rId2" xr:uid="{31E2BED7-2D6D-44D9-A900-15DD4F9D5FC3}"/>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B6BED-2888-4353-93FE-144221E04B54}">
  <dimension ref="A1:R19"/>
  <sheetViews>
    <sheetView showGridLines="0" zoomScale="76" zoomScaleNormal="76" workbookViewId="0">
      <selection activeCell="C5" sqref="C5"/>
    </sheetView>
  </sheetViews>
  <sheetFormatPr defaultColWidth="8.77734375" defaultRowHeight="15"/>
  <cols>
    <col min="1" max="1" width="2.77734375" customWidth="1"/>
    <col min="2" max="2" width="12.5546875" customWidth="1"/>
    <col min="3" max="3" width="14.44140625" bestFit="1" customWidth="1"/>
    <col min="4" max="4" width="18.77734375" customWidth="1"/>
    <col min="5" max="5" width="12.44140625" customWidth="1"/>
    <col min="6" max="6" width="16.77734375" customWidth="1"/>
    <col min="7" max="7" width="15.21875" customWidth="1"/>
    <col min="8" max="8" width="14.44140625" bestFit="1" customWidth="1"/>
    <col min="9" max="9" width="11.21875" bestFit="1" customWidth="1"/>
    <col min="10" max="10" width="17.77734375" customWidth="1"/>
    <col min="11" max="11" width="31.77734375" customWidth="1"/>
    <col min="12" max="12" width="50.21875" customWidth="1"/>
    <col min="13" max="14" width="20.21875" customWidth="1"/>
    <col min="15" max="15" width="25.77734375" customWidth="1"/>
    <col min="16" max="16" width="19.5546875" customWidth="1"/>
    <col min="17" max="17" width="33.44140625" customWidth="1"/>
  </cols>
  <sheetData>
    <row r="1" spans="1:18">
      <c r="A1" s="46"/>
      <c r="B1" s="46"/>
      <c r="C1" s="46"/>
      <c r="D1" s="46"/>
      <c r="E1" s="46"/>
      <c r="F1" s="46"/>
      <c r="G1" s="46"/>
      <c r="H1" s="46"/>
      <c r="I1" s="46"/>
      <c r="J1" s="46"/>
      <c r="K1" s="46"/>
      <c r="L1" s="46"/>
      <c r="M1" s="46"/>
    </row>
    <row r="2" spans="1:18" ht="15.6">
      <c r="B2" s="47" t="s">
        <v>63</v>
      </c>
      <c r="C2" s="48" t="s">
        <v>64</v>
      </c>
      <c r="D2" s="49"/>
      <c r="E2" s="49"/>
      <c r="F2" s="48"/>
    </row>
    <row r="3" spans="1:18" ht="16.149999999999999" customHeight="1">
      <c r="B3" s="50" t="s">
        <v>65</v>
      </c>
      <c r="C3" s="108" t="s">
        <v>66</v>
      </c>
      <c r="D3" s="108"/>
      <c r="E3" s="108"/>
      <c r="F3" s="108"/>
    </row>
    <row r="4" spans="1:18">
      <c r="B4" s="50"/>
      <c r="C4" s="108"/>
      <c r="D4" s="108"/>
      <c r="E4" s="108"/>
      <c r="F4" s="108"/>
    </row>
    <row r="5" spans="1:18" ht="15.75">
      <c r="B5" s="47" t="s">
        <v>67</v>
      </c>
      <c r="C5" s="110" t="s">
        <v>39</v>
      </c>
      <c r="D5" s="48"/>
      <c r="E5" s="48"/>
    </row>
    <row r="6" spans="1:18" ht="15.6">
      <c r="B6" s="37" t="s">
        <v>68</v>
      </c>
      <c r="C6" t="s">
        <v>69</v>
      </c>
    </row>
    <row r="7" spans="1:18" ht="15.6" thickBot="1"/>
    <row r="8" spans="1:18" ht="18" thickBot="1">
      <c r="B8" s="51" t="s">
        <v>70</v>
      </c>
      <c r="C8" s="52"/>
      <c r="D8" s="52"/>
      <c r="E8" s="52"/>
      <c r="F8" s="52"/>
      <c r="G8" s="70" t="s">
        <v>71</v>
      </c>
      <c r="H8" s="72"/>
      <c r="I8" s="53"/>
      <c r="J8" s="53"/>
      <c r="K8" s="53"/>
      <c r="L8" s="53"/>
      <c r="M8" s="75"/>
      <c r="N8" s="80"/>
      <c r="O8" s="60" t="s">
        <v>72</v>
      </c>
      <c r="P8" s="60"/>
      <c r="Q8" s="81"/>
    </row>
    <row r="9" spans="1:18" s="54" customFormat="1" ht="62.45">
      <c r="B9" s="61" t="s">
        <v>73</v>
      </c>
      <c r="C9" s="62" t="s">
        <v>74</v>
      </c>
      <c r="D9" s="63" t="s">
        <v>75</v>
      </c>
      <c r="E9" s="63" t="s">
        <v>76</v>
      </c>
      <c r="F9" s="71" t="s">
        <v>77</v>
      </c>
      <c r="G9" s="71" t="s">
        <v>78</v>
      </c>
      <c r="H9" s="73" t="s">
        <v>79</v>
      </c>
      <c r="I9" s="64" t="s">
        <v>80</v>
      </c>
      <c r="J9" s="79" t="s">
        <v>81</v>
      </c>
      <c r="K9" s="64" t="s">
        <v>82</v>
      </c>
      <c r="L9" s="74" t="s">
        <v>83</v>
      </c>
      <c r="M9" s="76" t="s">
        <v>84</v>
      </c>
      <c r="N9" s="65" t="s">
        <v>85</v>
      </c>
      <c r="O9" s="68" t="s">
        <v>86</v>
      </c>
      <c r="P9" s="67" t="s">
        <v>87</v>
      </c>
      <c r="Q9" s="82" t="s">
        <v>88</v>
      </c>
    </row>
    <row r="10" spans="1:18" ht="16.899999999999999" customHeight="1">
      <c r="B10" s="88" t="s">
        <v>89</v>
      </c>
      <c r="C10" s="89" t="s">
        <v>90</v>
      </c>
      <c r="D10" s="90"/>
      <c r="E10" s="90"/>
      <c r="F10" s="91"/>
      <c r="G10" s="92"/>
      <c r="H10" s="93">
        <v>30</v>
      </c>
      <c r="I10" s="55">
        <v>24</v>
      </c>
      <c r="J10" s="94">
        <f>H10/1000*I10</f>
        <v>0.72</v>
      </c>
      <c r="K10" s="55" t="str">
        <f>IF(G10&lt;1,"Missing Number of Chips Input",G10*1+0.5)</f>
        <v>Missing Number of Chips Input</v>
      </c>
      <c r="L10" s="83" t="str">
        <f t="shared" ref="L10:L11" si="0">IF(D10=0,"Missing Stock Concentration Input",IF(P10="Input error","Input error",IF(AND(D10&lt;P10,D10&gt;0),"Manufacturer Stock Concentration Too Low",P10/D10)))</f>
        <v>Missing Stock Concentration Input</v>
      </c>
      <c r="M10" s="77" t="str">
        <f>IFERROR(L10*K10*1000,"Input error")</f>
        <v>Input error</v>
      </c>
      <c r="N10" s="56" t="str">
        <f>IFERROR(K10-M10/1000,"Input error")</f>
        <v>Input error</v>
      </c>
      <c r="O10" s="95" t="str">
        <f t="shared" ref="O10:O11" si="1">IF(E10=0,"Missing Desired MOI Input",IF(F10=0, "Input error",E10*F10))</f>
        <v>Missing Desired MOI Input</v>
      </c>
      <c r="P10" s="96" t="str">
        <f>IFERROR(O10*1/J10,"Input error")</f>
        <v>Input error</v>
      </c>
      <c r="Q10" s="87" t="str">
        <f t="shared" ref="Q10:Q12" si="2">IF(F10=0,"Missing Hepatocytes per Chip Input",IF(P10="Input error","Input error",P10/F10*IF(C10="Epithelial",0.028,0.0056)))</f>
        <v>Missing Hepatocytes per Chip Input</v>
      </c>
      <c r="R10" s="66"/>
    </row>
    <row r="11" spans="1:18">
      <c r="B11" s="88" t="s">
        <v>91</v>
      </c>
      <c r="C11" s="89" t="s">
        <v>92</v>
      </c>
      <c r="D11" s="90">
        <v>100000000000</v>
      </c>
      <c r="E11" s="90">
        <v>5</v>
      </c>
      <c r="F11" s="91">
        <v>42000</v>
      </c>
      <c r="G11" s="92">
        <v>3</v>
      </c>
      <c r="H11" s="97">
        <v>30</v>
      </c>
      <c r="I11" s="98">
        <v>24</v>
      </c>
      <c r="J11" s="94">
        <f t="shared" ref="J11:J13" si="3">H11/1000*I11</f>
        <v>0.72</v>
      </c>
      <c r="K11" s="55">
        <f t="shared" ref="K11:K13" si="4">IF(G11&lt;1,"Missing Number of Chips Input",G11*1+0.5)</f>
        <v>3.5</v>
      </c>
      <c r="L11" s="83">
        <f t="shared" si="0"/>
        <v>2.916666666666667E-6</v>
      </c>
      <c r="M11" s="77">
        <f t="shared" ref="M11:M13" si="5">IFERROR(L11*K11*1000,"Input error")</f>
        <v>1.0208333333333335E-2</v>
      </c>
      <c r="N11" s="56">
        <f t="shared" ref="N11:N13" si="6">IFERROR(K11-M11/1000,"Input error")</f>
        <v>3.4999897916666667</v>
      </c>
      <c r="O11" s="95">
        <f t="shared" si="1"/>
        <v>210000</v>
      </c>
      <c r="P11" s="96">
        <f>IFERROR(O11*1/J11,"Input error")</f>
        <v>291666.66666666669</v>
      </c>
      <c r="Q11" s="87">
        <f t="shared" si="2"/>
        <v>3.888888888888889E-2</v>
      </c>
    </row>
    <row r="12" spans="1:18" ht="15.6">
      <c r="B12" s="88" t="s">
        <v>93</v>
      </c>
      <c r="C12" s="89" t="s">
        <v>90</v>
      </c>
      <c r="D12" s="90">
        <v>5100000000000</v>
      </c>
      <c r="E12" s="90">
        <v>100000</v>
      </c>
      <c r="F12" s="91">
        <v>8</v>
      </c>
      <c r="G12" s="92">
        <v>3</v>
      </c>
      <c r="H12" s="97">
        <v>30</v>
      </c>
      <c r="I12" s="98">
        <v>24</v>
      </c>
      <c r="J12" s="94">
        <f t="shared" si="3"/>
        <v>0.72</v>
      </c>
      <c r="K12" s="55">
        <f t="shared" si="4"/>
        <v>3.5</v>
      </c>
      <c r="L12" s="83">
        <f>IF(D12=0,"Missing Stock Concentration Input",IF(P12="Input error","Input error",IF(AND(D12&lt;P12,D12&gt;0),"Manufacturer Stock Concentration Too Low",P12/D12)))</f>
        <v>2.1786492374727672E-7</v>
      </c>
      <c r="M12" s="77">
        <f t="shared" si="5"/>
        <v>7.6252723311546848E-4</v>
      </c>
      <c r="N12" s="56">
        <f t="shared" si="6"/>
        <v>3.4999992374727671</v>
      </c>
      <c r="O12" s="95">
        <f>IF(E12=0,"Missing Desired MOI Input",IF(F12=0, "Input error",E12*F12))</f>
        <v>800000</v>
      </c>
      <c r="P12" s="96">
        <f>IFERROR(O12*1/J12,"Input error")</f>
        <v>1111111.1111111112</v>
      </c>
      <c r="Q12" s="87">
        <f t="shared" si="2"/>
        <v>3888.8888888888896</v>
      </c>
    </row>
    <row r="13" spans="1:18" ht="15.6" thickBot="1">
      <c r="B13" s="88" t="s">
        <v>94</v>
      </c>
      <c r="C13" s="99" t="s">
        <v>92</v>
      </c>
      <c r="D13" s="90">
        <v>10000000000000</v>
      </c>
      <c r="E13" s="90">
        <v>500000</v>
      </c>
      <c r="F13" s="91">
        <v>42000</v>
      </c>
      <c r="G13" s="92">
        <v>6000</v>
      </c>
      <c r="H13" s="100">
        <v>30</v>
      </c>
      <c r="I13" s="101">
        <v>24</v>
      </c>
      <c r="J13" s="101">
        <f t="shared" si="3"/>
        <v>0.72</v>
      </c>
      <c r="K13" s="55">
        <f t="shared" si="4"/>
        <v>6000.5</v>
      </c>
      <c r="L13" s="102">
        <f>IF(D13=0,"Missing Stock Concentration Input",IF(P13="Input error","Input error",IF(AND(D13&lt;P13,D13&gt;0),"Manufacturer Stock Concentration Too Low",P13/D13)))</f>
        <v>2.9166666666666668E-3</v>
      </c>
      <c r="M13" s="78">
        <f>IFERROR(L13*K13*1000,"Input error")</f>
        <v>17501.458333333336</v>
      </c>
      <c r="N13" s="57">
        <f>IFERROR(K13-M13/1000,"Input error")</f>
        <v>5982.9985416666668</v>
      </c>
      <c r="O13" s="95">
        <f>IF(E13=0,"Missing Desired MOI Input",IF(F13=0, "Input error",E13*F13))</f>
        <v>21000000000</v>
      </c>
      <c r="P13" s="96">
        <f>IFERROR(O13*1/J13,"Input error")</f>
        <v>29166666666.666668</v>
      </c>
      <c r="Q13" s="87">
        <f>IF(F13=0,"Missing Hepatocytes per Chip Input",IF(P13="Input error","Input error",P13/F13*IF(C13="Epithelial",0.028,0.0056)))</f>
        <v>3888.8888888888891</v>
      </c>
    </row>
    <row r="14" spans="1:18">
      <c r="B14" s="58"/>
      <c r="C14" s="58"/>
      <c r="E14" s="58"/>
      <c r="K14" s="69"/>
    </row>
    <row r="15" spans="1:18">
      <c r="B15" t="s">
        <v>95</v>
      </c>
      <c r="C15" s="58"/>
      <c r="D15" s="58"/>
      <c r="E15" s="58"/>
    </row>
    <row r="16" spans="1:18">
      <c r="B16" t="s">
        <v>96</v>
      </c>
      <c r="C16" s="58"/>
      <c r="D16" s="58"/>
      <c r="E16" s="58"/>
    </row>
    <row r="17" spans="2:13">
      <c r="B17" s="86"/>
      <c r="C17" s="84"/>
      <c r="D17" s="84"/>
      <c r="E17" s="84"/>
      <c r="F17" s="85"/>
      <c r="L17" s="59"/>
    </row>
    <row r="18" spans="2:13">
      <c r="B18" s="85"/>
      <c r="C18" s="85"/>
      <c r="D18" s="85"/>
      <c r="E18" s="85"/>
      <c r="F18" s="85"/>
      <c r="M18" s="66"/>
    </row>
    <row r="19" spans="2:13">
      <c r="I19" s="66"/>
      <c r="J19" s="66"/>
    </row>
  </sheetData>
  <sheetProtection algorithmName="SHA-512" hashValue="6rOVGdrz+vEwX3zuRixSOMLRvTEchuQYEu8Lq70/3lTIKc/3jP4ZcZixW+/SrzK2mfd0oXawSvXSHheVKlPLvw==" saltValue="fTpW+4BjMz+/TSRVEr+s9g==" spinCount="100000" sheet="1" objects="1" scenarios="1"/>
  <mergeCells count="1">
    <mergeCell ref="C3:F4"/>
  </mergeCells>
  <conditionalFormatting sqref="L10:L13">
    <cfRule type="containsText" dxfId="3" priority="3" operator="containsText" text="low">
      <formula>NOT(ISERROR(SEARCH("low",L10)))</formula>
    </cfRule>
  </conditionalFormatting>
  <conditionalFormatting sqref="Q10:Q13">
    <cfRule type="containsText" dxfId="2" priority="14" operator="containsText" text="Missing">
      <formula>NOT(ISERROR(SEARCH("Missing",Q10)))</formula>
    </cfRule>
  </conditionalFormatting>
  <conditionalFormatting sqref="K10:Q13">
    <cfRule type="containsText" dxfId="1" priority="15" operator="containsText" text="error">
      <formula>NOT(ISERROR(SEARCH("error",K10)))</formula>
    </cfRule>
    <cfRule type="containsText" dxfId="0" priority="1" operator="containsText" text="Missing">
      <formula>NOT(ISERROR(SEARCH("Missing",K10)))</formula>
    </cfRule>
  </conditionalFormatting>
  <dataValidations disablePrompts="1" count="1">
    <dataValidation type="list" allowBlank="1" showInputMessage="1" showErrorMessage="1" sqref="C10:C13" xr:uid="{56528843-AE6D-4A6E-A476-D65CEBE44C3D}">
      <formula1>"Epithelial,Endothelial"</formula1>
    </dataValidation>
  </dataValidations>
  <hyperlinks>
    <hyperlink ref="C5" r:id="rId1" xr:uid="{2EE5DB6B-6166-4DD9-B438-C23C0D741127}"/>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3639c10-2813-47ee-a97e-7dbe53c1541b">
      <UserInfo>
        <DisplayName>Josiah Sliz</DisplayName>
        <AccountId>82</AccountId>
        <AccountType/>
      </UserInfo>
    </SharedWithUsers>
    <TaxCatchAll xmlns="c3639c10-2813-47ee-a97e-7dbe53c1541b" xsi:nil="true"/>
    <lcf76f155ced4ddcb4097134ff3c332f xmlns="f033c46c-9cb4-483d-88a3-f979116bb332">
      <Terms xmlns="http://schemas.microsoft.com/office/infopath/2007/PartnerControls"/>
    </lcf76f155ced4ddcb4097134ff3c332f>
    <_Flow_SignoffStatus xmlns="f033c46c-9cb4-483d-88a3-f979116bb33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77FCAA5A7966344A0A950D15BF902D7" ma:contentTypeVersion="17" ma:contentTypeDescription="Create a new document." ma:contentTypeScope="" ma:versionID="59df3da2bd583ce507e86fd5f75c5c83">
  <xsd:schema xmlns:xsd="http://www.w3.org/2001/XMLSchema" xmlns:xs="http://www.w3.org/2001/XMLSchema" xmlns:p="http://schemas.microsoft.com/office/2006/metadata/properties" xmlns:ns2="f033c46c-9cb4-483d-88a3-f979116bb332" xmlns:ns3="c3639c10-2813-47ee-a97e-7dbe53c1541b" targetNamespace="http://schemas.microsoft.com/office/2006/metadata/properties" ma:root="true" ma:fieldsID="2d64e1ee3337a2a73bf51caeee99d158" ns2:_="" ns3:_="">
    <xsd:import namespace="f033c46c-9cb4-483d-88a3-f979116bb332"/>
    <xsd:import namespace="c3639c10-2813-47ee-a97e-7dbe53c1541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_Flow_SignoffStatu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33c46c-9cb4-483d-88a3-f979116bb3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83aff08-9440-43fb-bbbd-3fd3b13a0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3639c10-2813-47ee-a97e-7dbe53c1541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b31977cb-1c6a-4306-abcc-d446a99a7eb4}" ma:internalName="TaxCatchAll" ma:showField="CatchAllData" ma:web="c3639c10-2813-47ee-a97e-7dbe53c154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11D6A6-E753-4BAD-86D6-5F2595B50FE6}"/>
</file>

<file path=customXml/itemProps2.xml><?xml version="1.0" encoding="utf-8"?>
<ds:datastoreItem xmlns:ds="http://schemas.openxmlformats.org/officeDocument/2006/customXml" ds:itemID="{C0E148F7-9C93-463B-9C98-6FB5F6B015F6}"/>
</file>

<file path=customXml/itemProps3.xml><?xml version="1.0" encoding="utf-8"?>
<ds:datastoreItem xmlns:ds="http://schemas.openxmlformats.org/officeDocument/2006/customXml" ds:itemID="{9AC5F6B5-7689-47EA-92BD-46CEA0DF8A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Sushma Jadalannagari</dc:creator>
  <cp:keywords/>
  <dc:description/>
  <cp:lastModifiedBy/>
  <cp:revision/>
  <dcterms:created xsi:type="dcterms:W3CDTF">2021-04-01T13:53:10Z</dcterms:created>
  <dcterms:modified xsi:type="dcterms:W3CDTF">2022-10-20T19:15:05Z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0x010100277FCAA5A7966344A0A950D15BF902D7</vt:lpwstr>
  </property>
  <property fmtid="{D5CDD505-2E9C-101B-9397-08002B2CF9AE}" pid="3" name="MediaServiceImageTags">
    <vt:lpwstr/>
  </property>
</Properties>
</file>